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steven_hein_fws_gov1/Documents/Steve_Hein_MMM_AK/Narwhal/Aircraft_analysis/"/>
    </mc:Choice>
  </mc:AlternateContent>
  <xr:revisionPtr revIDLastSave="417" documentId="8_{45B9D50D-6EC7-4395-A43B-393BF453BE19}" xr6:coauthVersionLast="47" xr6:coauthVersionMax="47" xr10:uidLastSave="{4926F6DA-E80B-4945-90D9-81A05A5F4FA6}"/>
  <bookViews>
    <workbookView xWindow="13215" yWindow="-16320" windowWidth="29040" windowHeight="15720" xr2:uid="{F4A4BA87-590C-48C5-B4A4-9E56EC92525C}"/>
  </bookViews>
  <sheets>
    <sheet name="analysis" sheetId="1" r:id="rId1"/>
    <sheet name="Sheet1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0" i="1" l="1"/>
  <c r="Y4" i="1" l="1"/>
  <c r="Y5" i="1"/>
  <c r="Y6" i="1"/>
  <c r="Y7" i="1"/>
  <c r="Y8" i="1"/>
  <c r="Y3" i="1"/>
  <c r="D4" i="3" l="1"/>
  <c r="D5" i="3"/>
  <c r="D6" i="3"/>
  <c r="D7" i="3"/>
  <c r="D3" i="3"/>
  <c r="D25" i="3"/>
  <c r="D26" i="3"/>
  <c r="D24" i="3"/>
  <c r="W6" i="1"/>
  <c r="W5" i="1"/>
  <c r="AA5" i="1" s="1"/>
  <c r="H5" i="1"/>
  <c r="I5" i="1" s="1"/>
  <c r="K5" i="1" s="1"/>
  <c r="O5" i="1"/>
  <c r="Q5" i="1" s="1"/>
  <c r="AB5" i="1"/>
  <c r="C44" i="3"/>
  <c r="C27" i="3"/>
  <c r="H6" i="3"/>
  <c r="C8" i="3"/>
  <c r="H29" i="3"/>
  <c r="H39" i="3"/>
  <c r="I37" i="3"/>
  <c r="H37" i="3"/>
  <c r="C38" i="3"/>
  <c r="D36" i="3"/>
  <c r="C36" i="3"/>
  <c r="W7" i="1"/>
  <c r="H19" i="3"/>
  <c r="I16" i="3"/>
  <c r="H16" i="3"/>
  <c r="C20" i="3"/>
  <c r="D18" i="3"/>
  <c r="C18" i="3"/>
  <c r="K6" i="1"/>
  <c r="S5" i="1" l="1"/>
  <c r="AC5" i="1" s="1"/>
  <c r="AB4" i="1" l="1"/>
  <c r="W4" i="1"/>
  <c r="AA4" i="1" s="1"/>
  <c r="O4" i="1"/>
  <c r="Q4" i="1" s="1"/>
  <c r="H4" i="1"/>
  <c r="AB8" i="1"/>
  <c r="W8" i="1"/>
  <c r="AA8" i="1" s="1"/>
  <c r="O8" i="1"/>
  <c r="Q8" i="1" s="1"/>
  <c r="K8" i="1"/>
  <c r="AB7" i="1"/>
  <c r="AA7" i="1"/>
  <c r="O7" i="1"/>
  <c r="Q7" i="1" s="1"/>
  <c r="K7" i="1"/>
  <c r="O6" i="1"/>
  <c r="Q6" i="1" s="1"/>
  <c r="AB3" i="1"/>
  <c r="W3" i="1"/>
  <c r="AA3" i="1" s="1"/>
  <c r="O3" i="1"/>
  <c r="Q3" i="1" s="1"/>
  <c r="H3" i="1"/>
  <c r="I3" i="1" s="1"/>
  <c r="K3" i="1" s="1"/>
  <c r="I4" i="1" l="1"/>
  <c r="K4" i="1" s="1"/>
  <c r="S4" i="1" s="1"/>
  <c r="AC4" i="1" s="1"/>
  <c r="S8" i="1"/>
  <c r="AC8" i="1" s="1"/>
  <c r="AC11" i="1" s="1"/>
  <c r="S6" i="1"/>
  <c r="AB6" i="1"/>
  <c r="S7" i="1"/>
  <c r="AC7" i="1" s="1"/>
  <c r="AA6" i="1"/>
  <c r="S3" i="1"/>
  <c r="AC3" i="1" s="1"/>
  <c r="AC6" i="1" l="1"/>
</calcChain>
</file>

<file path=xl/sharedStrings.xml><?xml version="1.0" encoding="utf-8"?>
<sst xmlns="http://schemas.openxmlformats.org/spreadsheetml/2006/main" count="180" uniqueCount="129">
  <si>
    <t>Aircraft Type</t>
  </si>
  <si>
    <t>Season</t>
  </si>
  <si>
    <t>Activity</t>
  </si>
  <si>
    <t>Altitude</t>
  </si>
  <si>
    <t>Route</t>
  </si>
  <si>
    <t>Distance (km)</t>
  </si>
  <si>
    <t>Distance minus take-off &amp; Landing distance</t>
  </si>
  <si>
    <t>Flight hours/flight</t>
  </si>
  <si>
    <t>Total Flights</t>
  </si>
  <si>
    <t>Proportion of Season</t>
  </si>
  <si>
    <t>Moving Impact Area of the Plane (km2)</t>
  </si>
  <si>
    <t>Proportion of Flight in Coastal Habitat</t>
  </si>
  <si>
    <t>Proportion of Flight in Inland Habitat</t>
  </si>
  <si>
    <t>Total Encounter Rate (bears/km2/season)</t>
  </si>
  <si>
    <t>Harassment Rate</t>
  </si>
  <si>
    <t>Flight Time Harassment</t>
  </si>
  <si>
    <t>Landing Area</t>
  </si>
  <si>
    <t>Landing Time/Season</t>
  </si>
  <si>
    <t>Takeoff Area</t>
  </si>
  <si>
    <t>Takeoff Time/Season</t>
  </si>
  <si>
    <t>Landing and Takeoff Harassment Rate</t>
  </si>
  <si>
    <t>Landing Harassment</t>
  </si>
  <si>
    <t>Takeoff Harassment</t>
  </si>
  <si>
    <t>Bears Harassed / Flight Activity</t>
  </si>
  <si>
    <t>ice</t>
  </si>
  <si>
    <t>&gt;1500ft</t>
  </si>
  <si>
    <t>&lt;500ft</t>
  </si>
  <si>
    <t>helicopter</t>
  </si>
  <si>
    <t>open</t>
  </si>
  <si>
    <t>&lt;500</t>
  </si>
  <si>
    <t>Helicopter Information</t>
  </si>
  <si>
    <t>Cessna</t>
  </si>
  <si>
    <t>otter</t>
  </si>
  <si>
    <t>take off dist</t>
  </si>
  <si>
    <t>landing dist</t>
  </si>
  <si>
    <t>both dist</t>
  </si>
  <si>
    <t>July 19- November 11</t>
  </si>
  <si>
    <t>Aircraft Analysis</t>
  </si>
  <si>
    <t>Hours/Season</t>
  </si>
  <si>
    <t>Encounter Rate Coastal (bears/km2/season)</t>
  </si>
  <si>
    <t>Encounter Rate Inland (bear/km2/season)</t>
  </si>
  <si>
    <t>Total</t>
  </si>
  <si>
    <t>Fixed-Wing Information</t>
  </si>
  <si>
    <t xml:space="preserve">Fixed-Wing Aircraft </t>
  </si>
  <si>
    <t>MPH</t>
  </si>
  <si>
    <t>KMPH</t>
  </si>
  <si>
    <t>140 mph</t>
  </si>
  <si>
    <t>225 kmph</t>
  </si>
  <si>
    <t>160 mph</t>
  </si>
  <si>
    <t>257 kmph</t>
  </si>
  <si>
    <t xml:space="preserve">Helicopter </t>
  </si>
  <si>
    <t>Helicopter</t>
  </si>
  <si>
    <t>120 mph</t>
  </si>
  <si>
    <t>193 kmph</t>
  </si>
  <si>
    <t>Taken off of length_km to prevent double counting.</t>
  </si>
  <si>
    <t>Ice-Season and Open-Water Season Information</t>
  </si>
  <si>
    <t>115 Days/Season</t>
  </si>
  <si>
    <t>Date Range</t>
  </si>
  <si>
    <t>Days</t>
  </si>
  <si>
    <t>Hours</t>
  </si>
  <si>
    <t>Open-Water Season</t>
  </si>
  <si>
    <t>Ice Season</t>
  </si>
  <si>
    <t>November 12-July 19</t>
  </si>
  <si>
    <t>Summary of Encounters of Polar Bears on the North Slope of Alaska in the Period of 2014 to 2018 Within 1.6 KM (1 MI) of the 24-Hour Occupancy Locations and Subsequent Encounter Rates For Coastal (A) and Inland (B) Zones</t>
  </si>
  <si>
    <r>
      <t>(A) Coastal Zone (Area = 133 km</t>
    </r>
    <r>
      <rPr>
        <b/>
        <vertAlign val="superscript"/>
        <sz val="12"/>
        <color theme="1"/>
        <rFont val="Calibri Light"/>
        <family val="2"/>
        <scheme val="major"/>
      </rPr>
      <t>2)</t>
    </r>
  </si>
  <si>
    <t>Year</t>
  </si>
  <si>
    <t>Ice season encounters</t>
  </si>
  <si>
    <t>Open-water season encounters</t>
  </si>
  <si>
    <t>Average</t>
  </si>
  <si>
    <t>Seasonal Encounter Rate</t>
  </si>
  <si>
    <r>
      <t>0.05 bears/km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</si>
  <si>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1.48 bears/km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</si>
  <si>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(B) Inland Zone (Area = 267 km</t>
    </r>
    <r>
      <rPr>
        <b/>
        <vertAlign val="superscript"/>
        <sz val="12"/>
        <color theme="1"/>
        <rFont val="Calibri Light"/>
        <family val="2"/>
        <scheme val="major"/>
      </rPr>
      <t>2)</t>
    </r>
  </si>
  <si>
    <r>
      <t>0.004 bears/km</t>
    </r>
    <r>
      <rPr>
        <vertAlign val="superscript"/>
        <sz val="11"/>
        <color theme="1"/>
        <rFont val="Calibri"/>
        <family val="2"/>
        <scheme val="minor"/>
      </rPr>
      <t>2</t>
    </r>
  </si>
  <si>
    <t>Fixed Wing</t>
  </si>
  <si>
    <t>lake survey</t>
  </si>
  <si>
    <t>Deadhorse to multiple lakes to Deadhorse</t>
  </si>
  <si>
    <t>Archaeology survey</t>
  </si>
  <si>
    <t>Archaeological survey route</t>
  </si>
  <si>
    <t>lake survey distances</t>
  </si>
  <si>
    <t>route section 1</t>
  </si>
  <si>
    <t>route section 2</t>
  </si>
  <si>
    <t>route section 3</t>
  </si>
  <si>
    <t>route section 4</t>
  </si>
  <si>
    <t>route section 5</t>
  </si>
  <si>
    <t>sections in m</t>
  </si>
  <si>
    <t>Lake survey</t>
  </si>
  <si>
    <t>distance in longitude</t>
  </si>
  <si>
    <t>coastal section in long</t>
  </si>
  <si>
    <t>proportion in coastal zone</t>
  </si>
  <si>
    <t>Archaeological surveys</t>
  </si>
  <si>
    <t>archaeology flt 1</t>
  </si>
  <si>
    <t>archaeology flt 2</t>
  </si>
  <si>
    <t>archaeology flt 3</t>
  </si>
  <si>
    <t>total in  km</t>
  </si>
  <si>
    <t>Stick Picking</t>
  </si>
  <si>
    <t>stick pick flight 1</t>
  </si>
  <si>
    <t>stick pick flt 2</t>
  </si>
  <si>
    <t>Stick pick flt 3</t>
  </si>
  <si>
    <t>proportion incoastal zone</t>
  </si>
  <si>
    <t>stick picking</t>
  </si>
  <si>
    <t>stick picking routes</t>
  </si>
  <si>
    <t>Drill site routes</t>
  </si>
  <si>
    <t>sections m</t>
  </si>
  <si>
    <t>SCC to Site 4</t>
  </si>
  <si>
    <t>SCC to Site 9</t>
  </si>
  <si>
    <t>SCC to Site 10</t>
  </si>
  <si>
    <t>SCC to Site 11</t>
  </si>
  <si>
    <t>SCC to Site 13</t>
  </si>
  <si>
    <t>proportion in coastal zones</t>
  </si>
  <si>
    <t>operation support</t>
  </si>
  <si>
    <t>deadhorse to drill sites</t>
  </si>
  <si>
    <t xml:space="preserve">Average of all section in km </t>
  </si>
  <si>
    <t>startup crew support</t>
  </si>
  <si>
    <t>Deadhorse to equipment staging area</t>
  </si>
  <si>
    <t>Barge supply route</t>
  </si>
  <si>
    <t>Barge caretaker resupply</t>
  </si>
  <si>
    <t>meters</t>
  </si>
  <si>
    <t>kilometers</t>
  </si>
  <si>
    <t>kilometer</t>
  </si>
  <si>
    <t>~~~~~~~</t>
  </si>
  <si>
    <t>~~~~~</t>
  </si>
  <si>
    <t>Takeoffs</t>
  </si>
  <si>
    <t>Landings</t>
  </si>
  <si>
    <t>Ice Season take</t>
  </si>
  <si>
    <t>Open season take</t>
  </si>
  <si>
    <t>Ice Season take rounded</t>
  </si>
  <si>
    <t>Open season take rounded</t>
  </si>
  <si>
    <t xml:space="preserve">Total take from aircraft activities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</si>
</sst>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 Light"/>
      <family val="2"/>
      <scheme val="major"/>
    </font>
    <font>
      <b/>
      <vertAlign val="superscript"/>
      <sz val="12"/>
      <color theme="1"/>
      <name val="Calibri Light"/>
      <family val="2"/>
      <scheme val="major"/>
    </font>
    <font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33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" fillId="0" borderId="0" xfId="1" applyFill="1" applyBorder="1"/>
    <xf numFmtId="0" fontId="1" fillId="0" borderId="1" xfId="1" applyFill="1"/>
    <xf numFmtId="0" fontId="5" fillId="0" borderId="2" xfId="2" applyFont="1" applyFill="1" applyAlignment="1">
      <alignment horizontal="center" wrapText="1"/>
    </xf>
    <xf numFmtId="0" fontId="5" fillId="0" borderId="2" xfId="2" applyFont="1" applyFill="1" applyAlignment="1">
      <alignment horizontal="center" vertical="center" wrapText="1"/>
    </xf>
    <xf numFmtId="0" fontId="2" fillId="0" borderId="2" xfId="2" applyFill="1"/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1" xfId="1"/>
    <xf numFmtId="0" fontId="2" fillId="0" borderId="2" xfId="2"/>
    <xf numFmtId="0" fontId="0" fillId="0" borderId="0" xfId="0" applyAlignment="1">
      <alignment horizontal="left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5" fillId="0" borderId="0" xfId="2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11" fontId="0" fillId="0" borderId="0" xfId="0" applyNumberFormat="1" applyFill="1"/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11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0" xfId="0" quotePrefix="1" applyFill="1"/>
    <xf numFmtId="0" fontId="0" fillId="0" borderId="0" xfId="0" applyAlignment="1">
      <alignment wrapText="1"/>
    </xf>
  </cellXfs>
  <cellStyles count="3">
    <cellStyle name="Heading 1" xfId="1" builtinId="16"/>
    <cellStyle name="Heading 2" xfId="2" builtinId="17"/>
    <cellStyle name="Normal" xfId="0" builtinId="0"/>
  </cellStyles>
  <dxfs count="58">
    <dxf>
      <font>
        <b/>
      </font>
    </dxf>
    <dxf>
      <font>
        <b/>
      </font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</font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</font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</font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top style="thick">
          <color theme="4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thick">
          <color theme="4" tint="0.499984740745262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3175</xdr:colOff>
      <xdr:row>1</xdr:row>
      <xdr:rowOff>22225</xdr:rowOff>
    </xdr:from>
    <xdr:to>
      <xdr:col>13</xdr:col>
      <xdr:colOff>287366</xdr:colOff>
      <xdr:row>15</xdr:row>
      <xdr:rowOff>114300</xdr:rowOff>
    </xdr:to>
    <xdr:pic>
      <xdr:nvPicPr>
        <xdr:cNvPr id="2" name="Picture 1" descr="Table 2 - Summary of encounters of polar bears on the North Slope of Alaska in the period 2014 to 2018 within 1.6 KM (1 mile) of the 24-hour occupancy locations and subsequent encounter rates for coastal (a) and inland (b) zones. &#10;&#10;Table headers: Year, Ice season encounters, open-water season encounters. In Coastal Zone (A), area = 133 square kilometers), the year 2014 had 2 ice season encounters and 193 open-water season encounters. 2015 had 8 ice season encounters and 49 ice season encounters. 2016 had 4 ice season encounters and 227 open-water season encounters. 2017 had 7 ice season encounters and 313 open-water season encounters. 2018 had 13 ice season encounters and 197.4 open-water season encounters. The average ice season encounters in the period of 2014-2018 for the (a) coastal zone area of 133 square kilometers is 0.05 bears per square kilometer. The average open-water season encounters in the period of 2014-2018 for the (a) coastal zone area of 133 square kilometers is 1.48 bears/ per square kilometer.">
          <a:extLst>
            <a:ext uri="{FF2B5EF4-FFF2-40B4-BE49-F238E27FC236}">
              <a16:creationId xmlns:a16="http://schemas.microsoft.com/office/drawing/2014/main" id="{5059B3B3-A16E-417D-99F7-60C1A20AB3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45245" y="269875"/>
          <a:ext cx="5404831" cy="265239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791E1E-CB19-4F8B-AB05-C95093C840FE}" name="Table1AircraftAnalysis" displayName="Table1AircraftAnalysis" ref="A2:AC10" totalsRowCount="1" headerRowDxfId="57" dataDxfId="55" headerRowBorderDxfId="56" tableBorderDxfId="54" headerRowCellStyle="Heading 2">
  <autoFilter ref="A2:AC9" xr:uid="{3D791E1E-CB19-4F8B-AB05-C95093C840FE}"/>
  <sortState xmlns:xlrd2="http://schemas.microsoft.com/office/spreadsheetml/2017/richdata2" ref="A3:AC9">
    <sortCondition ref="B3:B9"/>
  </sortState>
  <tableColumns count="29">
    <tableColumn id="1" xr3:uid="{61C74020-759B-400C-825D-17B797508CCD}" name="Aircraft Type" totalsRowLabel="Total" dataDxfId="53"/>
    <tableColumn id="2" xr3:uid="{7B088E87-9356-4247-A158-159301DBBD00}" name="Season" dataDxfId="52"/>
    <tableColumn id="3" xr3:uid="{D41B07FC-9177-4AF1-A3C7-45E0CF5E0647}" name="Activity" dataDxfId="51"/>
    <tableColumn id="4" xr3:uid="{2274514F-8A58-450B-BC62-EF0F0F830877}" name="Altitude" dataDxfId="50"/>
    <tableColumn id="5" xr3:uid="{C6A682F6-17D6-4416-BA70-D7F371E3FC79}" name="Hours/Season" dataDxfId="49"/>
    <tableColumn id="6" xr3:uid="{2B9F7EC9-060D-4B70-85D6-56D1634E24FD}" name="Route" dataDxfId="48"/>
    <tableColumn id="7" xr3:uid="{D3109A20-288E-4013-94FF-9E598F7D0D88}" name="Distance (km)" dataDxfId="47"/>
    <tableColumn id="8" xr3:uid="{931A3F96-C30B-46B5-AFF3-11FBC02D3A71}" name="Distance minus take-off &amp; Landing distance" dataDxfId="46"/>
    <tableColumn id="9" xr3:uid="{C3FC04D9-C035-4347-89A4-BFA52F507818}" name="Flight hours/flight" dataDxfId="45"/>
    <tableColumn id="10" xr3:uid="{C525FAC5-18C7-45C9-B679-F05382D43643}" name="Total Flights" dataDxfId="44"/>
    <tableColumn id="11" xr3:uid="{1017A4D2-6F4D-438C-8A9A-5479F3B080C4}" name="Proportion of Season" dataDxfId="43"/>
    <tableColumn id="12" xr3:uid="{7A496A1F-A365-4225-AB02-3CADE47E60CB}" name="Moving Impact Area of the Plane (km2)" dataDxfId="42"/>
    <tableColumn id="13" xr3:uid="{A3B619E6-8BAA-41F7-AC94-1639F3B144BF}" name="Proportion of Flight in Coastal Habitat" dataDxfId="41"/>
    <tableColumn id="14" xr3:uid="{1F29BDE2-0E5C-46CC-95E9-4DE50636F8DD}" name="Encounter Rate Coastal (bears/km2/season)" dataDxfId="40"/>
    <tableColumn id="15" xr3:uid="{21A69563-935B-4AE9-BDEF-09857B3F7CD5}" name="Proportion of Flight in Inland Habitat" dataDxfId="39">
      <calculatedColumnFormula>1-M3</calculatedColumnFormula>
    </tableColumn>
    <tableColumn id="16" xr3:uid="{4D67FF73-04A2-4476-AD29-926E075981A2}" name="Encounter Rate Inland (bear/km2/season)" dataDxfId="38"/>
    <tableColumn id="17" xr3:uid="{488F84AA-C4C5-4DB7-9A2D-BE6825DA8102}" name="Total Encounter Rate (bears/km2/season)" dataDxfId="37">
      <calculatedColumnFormula>(M3*N3)+(O3*P3)</calculatedColumnFormula>
    </tableColumn>
    <tableColumn id="18" xr3:uid="{7B660CAF-D99F-47AB-8A8B-31E5F2DF187E}" name="Harassment Rate" dataDxfId="36"/>
    <tableColumn id="19" xr3:uid="{CD1E1C25-1256-42DF-AE29-3422C4FE3FDC}" name="Flight Time Harassment" dataDxfId="35">
      <calculatedColumnFormula>L3*Q3*K3*R3</calculatedColumnFormula>
    </tableColumn>
    <tableColumn id="29" xr3:uid="{BADAD628-9054-4FFC-8A5D-D81EF8D1C07C}" name="Takeoffs" dataDxfId="34"/>
    <tableColumn id="20" xr3:uid="{B9BFD82D-8D10-40F5-BC3E-AD6EE79FE9B3}" name="Landings" dataDxfId="33"/>
    <tableColumn id="21" xr3:uid="{C6C341D2-A9E0-4E9D-B501-526562FC4DF6}" name="Landing Area" dataDxfId="32" totalsRowDxfId="31"/>
    <tableColumn id="22" xr3:uid="{E2EBBAAA-2D01-42BC-83BA-636365CD5835}" name="Landing Time/Season" dataDxfId="30"/>
    <tableColumn id="23" xr3:uid="{BB426766-4B58-4FAC-B245-AB347A64C6A2}" name="Takeoff Area" dataDxfId="29" totalsRowDxfId="28"/>
    <tableColumn id="24" xr3:uid="{668A2C45-DA7F-4213-8BC8-F5FF26821D8E}" name="Takeoff Time/Season" dataDxfId="27">
      <calculatedColumnFormula>((10/60)*U3/E3)</calculatedColumnFormula>
    </tableColumn>
    <tableColumn id="25" xr3:uid="{733C403B-D248-4217-BA19-E41DB807AFF4}" name="Landing and Takeoff Harassment Rate" dataDxfId="26"/>
    <tableColumn id="26" xr3:uid="{3AA17ED2-ECFC-4688-A08A-88C21B2D4D80}" name="Landing Harassment" dataDxfId="25"/>
    <tableColumn id="27" xr3:uid="{603694AC-19E4-417D-901B-F6A0FED13C61}" name="Takeoff Harassment" totalsRowLabel="Ice Season take" dataDxfId="24"/>
    <tableColumn id="28" xr3:uid="{FF800602-1823-4FF2-A945-3FCA91336A23}" name="Bears Harassed / Flight Activity" totalsRowFunction="custom" dataDxfId="23">
      <totalsRowFormula>SUM(AC3:AC4)</totalsRow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02680B-1592-4EB3-BBC7-EEECBEABA5CE}" name="Table4TakeOffLandingDist" displayName="Table4TakeOffLandingDist" ref="A22:C23" totalsRowShown="0" headerRowDxfId="22" dataDxfId="21" headerRowCellStyle="Normal">
  <autoFilter ref="A22:C23" xr:uid="{3502680B-1592-4EB3-BBC7-EEECBEABA5CE}"/>
  <tableColumns count="3">
    <tableColumn id="1" xr3:uid="{C4A56DD5-D76B-4D0C-92A6-3778064A31D4}" name="take off dist" dataDxfId="20"/>
    <tableColumn id="2" xr3:uid="{7753457E-3192-4C9E-AC1C-DD5ACC17C2B3}" name="landing dist" dataDxfId="19"/>
    <tableColumn id="3" xr3:uid="{8B1A9C3A-2EF3-435E-A983-FD4B205EA9EE}" name="both dist" dataDxfId="18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564E4DA-321D-4E75-923A-7854C5F83FF2}" name="Table3HelicopterInfo" displayName="Table3HelicopterInfo" ref="A18:C19" totalsRowShown="0" headerRowDxfId="17" dataDxfId="16">
  <autoFilter ref="A18:C19" xr:uid="{F564E4DA-321D-4E75-923A-7854C5F83FF2}"/>
  <tableColumns count="3">
    <tableColumn id="1" xr3:uid="{09C32736-6211-43DF-9144-120CA726982F}" name="Helicopter " dataDxfId="15"/>
    <tableColumn id="2" xr3:uid="{4A1E4BA0-A002-4009-9200-46F9B6DD4AB3}" name="MPH" dataDxfId="14"/>
    <tableColumn id="3" xr3:uid="{B876924E-C19D-4DEA-BFF2-A5D36CED7C6E}" name="KMPH" dataDxfId="13"/>
  </tableColumns>
  <tableStyleInfo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7071383-4A26-4D7C-896A-6272A97674BE}" name="Table2FixedWingInfo" displayName="Table2FixedWingInfo" ref="A13:C15" totalsRowShown="0" headerRowDxfId="12" dataDxfId="11">
  <autoFilter ref="A13:C15" xr:uid="{D7071383-4A26-4D7C-896A-6272A97674BE}"/>
  <tableColumns count="3">
    <tableColumn id="1" xr3:uid="{9D047B76-3039-4044-B040-56A364EBECA4}" name="Fixed-Wing Aircraft " dataDxfId="10"/>
    <tableColumn id="2" xr3:uid="{0FB6DA8F-86A9-4046-ADE9-960E6FFBAA43}" name="MPH" dataDxfId="9"/>
    <tableColumn id="3" xr3:uid="{26879A6B-79E3-4089-B1D3-161A2F88CAE2}" name="KMPH" dataDxfId="8"/>
  </tableColumns>
  <tableStyleInfo showFirstColumn="1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2D16FC4-F506-4344-BA61-9B805A36014E}" name="Table5SeasonInfo" displayName="Table5SeasonInfo" ref="A27:D29" totalsRowShown="0" headerRowDxfId="7" dataDxfId="6">
  <autoFilter ref="A27:D29" xr:uid="{B2D16FC4-F506-4344-BA61-9B805A36014E}"/>
  <tableColumns count="4">
    <tableColumn id="1" xr3:uid="{7CB41A32-D85F-4020-A323-FEA5C20F02D4}" name="Season" dataDxfId="5"/>
    <tableColumn id="2" xr3:uid="{80E77E39-666D-4BD0-8C40-8B96DE57C0E0}" name="Date Range" dataDxfId="4"/>
    <tableColumn id="3" xr3:uid="{6C2EE280-DC09-4D91-8B3D-E63AF90CD9B7}" name="Days" dataDxfId="3"/>
    <tableColumn id="4" xr3:uid="{FDE19F29-243A-4774-9129-D0FD9FBECC29}" name="Hours" dataDxfId="2"/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B67B16D-EF8F-4A39-BF68-816B96D1917C}" name="Table6ACoastalZone" displayName="Table6ACoastalZone" ref="A3:C10" totalsRowShown="0" headerRowDxfId="1">
  <autoFilter ref="A3:C10" xr:uid="{2B67B16D-EF8F-4A39-BF68-816B96D1917C}"/>
  <tableColumns count="3">
    <tableColumn id="1" xr3:uid="{9F021184-5AFB-4B96-B105-7F435DC17998}" name="Year"/>
    <tableColumn id="2" xr3:uid="{799FDCD9-D028-4877-836A-683FF51E64D9}" name="Ice season encounters"/>
    <tableColumn id="3" xr3:uid="{574E1FBC-B6EA-45BD-BEE9-332137CA3DC7}" name="Open-water season encounters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63CC040-FFE3-4F86-8B56-22B117287435}" name="Table7InlandZone" displayName="Table7InlandZone" ref="A13:C20" totalsRowShown="0" headerRowDxfId="0">
  <autoFilter ref="A13:C20" xr:uid="{863CC040-FFE3-4F86-8B56-22B117287435}"/>
  <tableColumns count="3">
    <tableColumn id="1" xr3:uid="{2B7977D8-B0FA-47EC-B401-8981F4C6E74F}" name="Year"/>
    <tableColumn id="2" xr3:uid="{06FCEDA7-3FEE-4AB9-A402-EFA2D113A7B6}" name="Ice season encounters"/>
    <tableColumn id="3" xr3:uid="{B8E455D4-92A8-42D2-A187-65B90B4F981C}" name="Open-water season encounter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E481D-9AFF-4C9D-8E6E-EC2CA92C955C}">
  <dimension ref="A1:AC29"/>
  <sheetViews>
    <sheetView tabSelected="1" topLeftCell="T1" workbookViewId="0">
      <selection activeCell="F25" sqref="F25"/>
    </sheetView>
  </sheetViews>
  <sheetFormatPr defaultColWidth="8.68359375" defaultRowHeight="14.4" x14ac:dyDescent="0.55000000000000004"/>
  <cols>
    <col min="1" max="1" width="28.26171875" customWidth="1"/>
    <col min="2" max="2" width="22.68359375" customWidth="1"/>
    <col min="3" max="3" width="19.26171875" customWidth="1"/>
    <col min="4" max="4" width="13.83984375" customWidth="1"/>
    <col min="5" max="5" width="15" customWidth="1"/>
    <col min="6" max="6" width="41.47265625" customWidth="1"/>
    <col min="7" max="7" width="15.83984375" customWidth="1"/>
    <col min="8" max="8" width="43" customWidth="1"/>
    <col min="9" max="9" width="19.68359375" customWidth="1"/>
    <col min="10" max="10" width="17.83984375" bestFit="1" customWidth="1"/>
    <col min="11" max="11" width="22.41796875" customWidth="1"/>
    <col min="12" max="12" width="39.26171875" customWidth="1"/>
    <col min="13" max="13" width="63.578125" customWidth="1"/>
    <col min="14" max="14" width="42.68359375" customWidth="1"/>
    <col min="15" max="15" width="37" customWidth="1"/>
    <col min="16" max="16" width="40.578125" customWidth="1"/>
    <col min="17" max="17" width="44.68359375" customWidth="1"/>
    <col min="18" max="18" width="23.578125" customWidth="1"/>
    <col min="19" max="20" width="25" customWidth="1"/>
    <col min="21" max="21" width="22.41796875" customWidth="1"/>
    <col min="22" max="22" width="15" customWidth="1"/>
    <col min="23" max="23" width="22.578125" customWidth="1"/>
    <col min="24" max="24" width="15" customWidth="1"/>
    <col min="25" max="25" width="22.578125" customWidth="1"/>
    <col min="26" max="26" width="38" customWidth="1"/>
    <col min="27" max="27" width="21.68359375" customWidth="1"/>
    <col min="28" max="28" width="23.89453125" bestFit="1" customWidth="1"/>
    <col min="29" max="29" width="32.15625" customWidth="1"/>
  </cols>
  <sheetData>
    <row r="1" spans="1:29" s="4" customFormat="1" ht="19.5" thickBot="1" x14ac:dyDescent="0.75">
      <c r="A1" s="3" t="s">
        <v>37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29" s="5" customFormat="1" ht="15" thickTop="1" thickBot="1" x14ac:dyDescent="0.6">
      <c r="A2" s="5" t="s">
        <v>0</v>
      </c>
      <c r="B2" s="5" t="s">
        <v>1</v>
      </c>
      <c r="C2" s="5" t="s">
        <v>2</v>
      </c>
      <c r="D2" s="5" t="s">
        <v>3</v>
      </c>
      <c r="E2" s="5" t="s">
        <v>38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6" t="s">
        <v>10</v>
      </c>
      <c r="M2" s="6" t="s">
        <v>11</v>
      </c>
      <c r="N2" s="5" t="s">
        <v>39</v>
      </c>
      <c r="O2" s="5" t="s">
        <v>12</v>
      </c>
      <c r="P2" s="5" t="s">
        <v>40</v>
      </c>
      <c r="Q2" s="5" t="s">
        <v>13</v>
      </c>
      <c r="R2" s="22" t="s">
        <v>14</v>
      </c>
      <c r="S2" s="5" t="s">
        <v>15</v>
      </c>
      <c r="T2" s="5" t="s">
        <v>122</v>
      </c>
      <c r="U2" s="5" t="s">
        <v>123</v>
      </c>
      <c r="V2" s="5" t="s">
        <v>16</v>
      </c>
      <c r="W2" s="5" t="s">
        <v>17</v>
      </c>
      <c r="X2" s="5" t="s">
        <v>18</v>
      </c>
      <c r="Y2" s="5" t="s">
        <v>19</v>
      </c>
      <c r="Z2" s="5" t="s">
        <v>20</v>
      </c>
      <c r="AA2" s="5" t="s">
        <v>21</v>
      </c>
      <c r="AB2" s="5" t="s">
        <v>22</v>
      </c>
      <c r="AC2" s="5" t="s">
        <v>23</v>
      </c>
    </row>
    <row r="3" spans="1:29" s="23" customFormat="1" ht="15.9" thickTop="1" x14ac:dyDescent="0.6">
      <c r="A3" s="23" t="s">
        <v>27</v>
      </c>
      <c r="B3" s="23" t="s">
        <v>24</v>
      </c>
      <c r="C3" s="23" t="s">
        <v>113</v>
      </c>
      <c r="D3" s="23" t="s">
        <v>29</v>
      </c>
      <c r="E3" s="23">
        <v>6000</v>
      </c>
      <c r="F3" s="23" t="s">
        <v>114</v>
      </c>
      <c r="G3" s="23">
        <v>291</v>
      </c>
      <c r="H3" s="23">
        <f>G3-7.24</f>
        <v>283.76</v>
      </c>
      <c r="I3" s="23">
        <f>H3/257</f>
        <v>1.104124513618677</v>
      </c>
      <c r="J3" s="23">
        <v>4</v>
      </c>
      <c r="K3" s="23">
        <f>(I3*J3)/6000</f>
        <v>7.36083009079118E-4</v>
      </c>
      <c r="L3" s="23">
        <v>8.14</v>
      </c>
      <c r="M3" s="23">
        <v>0.33</v>
      </c>
      <c r="N3" s="23">
        <v>0.05</v>
      </c>
      <c r="O3" s="23">
        <f t="shared" ref="O3:O8" si="0">1-M3</f>
        <v>0.66999999999999993</v>
      </c>
      <c r="P3" s="23">
        <v>4.0000000000000001E-3</v>
      </c>
      <c r="Q3" s="23">
        <f t="shared" ref="Q3:Q8" si="1">(M3*N3)+(O3*P3)</f>
        <v>1.9179999999999999E-2</v>
      </c>
      <c r="R3" s="24">
        <v>0.99</v>
      </c>
      <c r="S3" s="25">
        <f t="shared" ref="S3:S8" si="2">L3*Q3*K3*R3</f>
        <v>1.1377189593898831E-4</v>
      </c>
      <c r="T3" s="23">
        <v>4</v>
      </c>
      <c r="U3" s="23">
        <v>4</v>
      </c>
      <c r="V3" s="26">
        <v>23.683821335800001</v>
      </c>
      <c r="W3" s="23">
        <f t="shared" ref="W3:W8" si="3">((10/60)*U3/E3)</f>
        <v>1.111111111111111E-4</v>
      </c>
      <c r="X3" s="27">
        <v>15.9106897604</v>
      </c>
      <c r="Y3" s="23">
        <f>((10/60)*T3/E3)</f>
        <v>1.111111111111111E-4</v>
      </c>
      <c r="Z3" s="23">
        <v>0.99</v>
      </c>
      <c r="AA3" s="23">
        <f>V3*W3*N3*Z3</f>
        <v>1.3026101734689999E-4</v>
      </c>
      <c r="AB3" s="23">
        <f>X3*Y3*N3*Z3</f>
        <v>8.7508793682199989E-5</v>
      </c>
      <c r="AC3" s="23">
        <f t="shared" ref="AC3:AC8" si="4">S3+AA3+AB3</f>
        <v>3.3154170696808832E-4</v>
      </c>
    </row>
    <row r="4" spans="1:29" s="23" customFormat="1" ht="15.6" x14ac:dyDescent="0.6">
      <c r="A4" s="23" t="s">
        <v>74</v>
      </c>
      <c r="B4" s="23" t="s">
        <v>24</v>
      </c>
      <c r="C4" s="23" t="s">
        <v>110</v>
      </c>
      <c r="D4" s="23" t="s">
        <v>25</v>
      </c>
      <c r="E4" s="23">
        <v>6000</v>
      </c>
      <c r="F4" s="23" t="s">
        <v>111</v>
      </c>
      <c r="G4" s="23">
        <v>283</v>
      </c>
      <c r="H4" s="23">
        <f>G4-7.24</f>
        <v>275.76</v>
      </c>
      <c r="I4" s="23">
        <f>H4/193</f>
        <v>1.4288082901554404</v>
      </c>
      <c r="J4" s="23">
        <v>137</v>
      </c>
      <c r="K4" s="23">
        <f>(I4*J4)/6000</f>
        <v>3.2624455958549223E-2</v>
      </c>
      <c r="L4" s="23">
        <v>8.14</v>
      </c>
      <c r="M4" s="23">
        <v>0.38</v>
      </c>
      <c r="N4" s="23">
        <v>0.05</v>
      </c>
      <c r="O4" s="23">
        <f t="shared" si="0"/>
        <v>0.62</v>
      </c>
      <c r="P4" s="23">
        <v>4.0000000000000001E-3</v>
      </c>
      <c r="Q4" s="23">
        <f t="shared" si="1"/>
        <v>2.1480000000000003E-2</v>
      </c>
      <c r="R4" s="24">
        <v>0.05</v>
      </c>
      <c r="S4" s="25">
        <f t="shared" si="2"/>
        <v>2.8521473879378244E-4</v>
      </c>
      <c r="T4" s="23">
        <v>137</v>
      </c>
      <c r="U4" s="23">
        <v>137</v>
      </c>
      <c r="V4" s="26">
        <v>23.683821335800001</v>
      </c>
      <c r="W4" s="23">
        <f t="shared" si="3"/>
        <v>3.8055555555555555E-3</v>
      </c>
      <c r="X4" s="27">
        <v>15.9106897604</v>
      </c>
      <c r="Y4" s="23">
        <f t="shared" ref="Y4:Y8" si="5">((10/60)*T4/E4)</f>
        <v>3.8055555555555555E-3</v>
      </c>
      <c r="Z4" s="23">
        <v>0.99</v>
      </c>
      <c r="AA4" s="23">
        <f>V4*W4*N4*Z4</f>
        <v>4.4614398441313249E-3</v>
      </c>
      <c r="AB4" s="23">
        <f>X4*Y4*N4*Z4</f>
        <v>2.9971761836153502E-3</v>
      </c>
      <c r="AC4" s="23">
        <f t="shared" si="4"/>
        <v>7.7438307665404571E-3</v>
      </c>
    </row>
    <row r="5" spans="1:29" s="24" customFormat="1" ht="15.6" x14ac:dyDescent="0.6">
      <c r="A5" s="24" t="s">
        <v>27</v>
      </c>
      <c r="B5" s="24" t="s">
        <v>28</v>
      </c>
      <c r="C5" s="24" t="s">
        <v>116</v>
      </c>
      <c r="D5" s="24" t="s">
        <v>26</v>
      </c>
      <c r="E5" s="24">
        <v>2750</v>
      </c>
      <c r="F5" s="24" t="s">
        <v>114</v>
      </c>
      <c r="G5" s="24">
        <v>291</v>
      </c>
      <c r="H5" s="24">
        <f>G5-7.24</f>
        <v>283.76</v>
      </c>
      <c r="I5" s="24">
        <f>H5/257</f>
        <v>1.104124513618677</v>
      </c>
      <c r="J5" s="24">
        <v>22</v>
      </c>
      <c r="K5" s="24">
        <f>(I5*J5)/6000</f>
        <v>4.0484565499351493E-3</v>
      </c>
      <c r="L5" s="24">
        <v>8.14</v>
      </c>
      <c r="M5" s="24">
        <v>0.33</v>
      </c>
      <c r="N5" s="23">
        <v>1.48</v>
      </c>
      <c r="O5" s="24">
        <f t="shared" si="0"/>
        <v>0.66999999999999993</v>
      </c>
      <c r="P5" s="24">
        <v>5.0000000000000001E-3</v>
      </c>
      <c r="Q5" s="24">
        <f t="shared" si="1"/>
        <v>0.49175000000000002</v>
      </c>
      <c r="R5" s="24">
        <v>0.99</v>
      </c>
      <c r="S5" s="28">
        <f t="shared" si="2"/>
        <v>1.6043290618038913E-2</v>
      </c>
      <c r="T5" s="24">
        <v>22</v>
      </c>
      <c r="U5" s="24">
        <v>22</v>
      </c>
      <c r="V5" s="29">
        <v>23.683821335800001</v>
      </c>
      <c r="W5" s="24">
        <f t="shared" si="3"/>
        <v>1.3333333333333333E-3</v>
      </c>
      <c r="X5" s="30">
        <v>15.9106897604</v>
      </c>
      <c r="Y5" s="23">
        <f t="shared" si="5"/>
        <v>1.3333333333333333E-3</v>
      </c>
      <c r="Z5" s="24">
        <v>0.99</v>
      </c>
      <c r="AA5" s="24">
        <f>V5*W5*N5*Z5</f>
        <v>4.6268713361618877E-2</v>
      </c>
      <c r="AB5" s="24">
        <f>X5*Y5*N5*Z5</f>
        <v>3.1083123515917441E-2</v>
      </c>
      <c r="AC5" s="24">
        <f t="shared" si="4"/>
        <v>9.3395127495575228E-2</v>
      </c>
    </row>
    <row r="6" spans="1:29" s="23" customFormat="1" ht="15.6" x14ac:dyDescent="0.6">
      <c r="A6" s="23" t="s">
        <v>27</v>
      </c>
      <c r="B6" s="23" t="s">
        <v>28</v>
      </c>
      <c r="C6" s="23" t="s">
        <v>75</v>
      </c>
      <c r="D6" s="23" t="s">
        <v>26</v>
      </c>
      <c r="E6" s="23">
        <v>2750</v>
      </c>
      <c r="F6" s="23" t="s">
        <v>76</v>
      </c>
      <c r="G6" s="31" t="s">
        <v>121</v>
      </c>
      <c r="H6" s="23" t="s">
        <v>121</v>
      </c>
      <c r="I6" s="23">
        <v>3</v>
      </c>
      <c r="J6" s="23">
        <v>10</v>
      </c>
      <c r="K6" s="23">
        <f>(I6*J6)/Table1AircraftAnalysis[[#This Row],[Hours/Season]]</f>
        <v>1.090909090909091E-2</v>
      </c>
      <c r="L6" s="23">
        <v>8.14</v>
      </c>
      <c r="M6" s="23">
        <v>0.26</v>
      </c>
      <c r="N6" s="23">
        <v>1.48</v>
      </c>
      <c r="O6" s="23">
        <f t="shared" si="0"/>
        <v>0.74</v>
      </c>
      <c r="P6" s="23">
        <v>5.0000000000000001E-3</v>
      </c>
      <c r="Q6" s="23">
        <f t="shared" si="1"/>
        <v>0.38850000000000001</v>
      </c>
      <c r="R6" s="24">
        <v>0.99</v>
      </c>
      <c r="S6" s="25">
        <f t="shared" si="2"/>
        <v>3.4153812000000006E-2</v>
      </c>
      <c r="T6" s="23">
        <v>68</v>
      </c>
      <c r="U6" s="23">
        <v>68</v>
      </c>
      <c r="V6" s="26">
        <v>23.683821335800001</v>
      </c>
      <c r="W6" s="24">
        <f t="shared" si="3"/>
        <v>4.121212121212121E-3</v>
      </c>
      <c r="X6" s="27">
        <v>15.9106897604</v>
      </c>
      <c r="Y6" s="23">
        <f t="shared" si="5"/>
        <v>4.121212121212121E-3</v>
      </c>
      <c r="Z6" s="23">
        <v>0.99</v>
      </c>
      <c r="AA6" s="23">
        <f>V6*W6*Q6*Z6</f>
        <v>3.7540751522949868E-2</v>
      </c>
      <c r="AB6" s="23">
        <f>X6*Y6*Q6*Z6</f>
        <v>2.5219716125414834E-2</v>
      </c>
      <c r="AC6" s="23">
        <f t="shared" si="4"/>
        <v>9.6914279648364701E-2</v>
      </c>
    </row>
    <row r="7" spans="1:29" s="23" customFormat="1" ht="15.6" x14ac:dyDescent="0.6">
      <c r="A7" s="23" t="s">
        <v>27</v>
      </c>
      <c r="B7" s="23" t="s">
        <v>28</v>
      </c>
      <c r="C7" s="23" t="s">
        <v>77</v>
      </c>
      <c r="D7" s="23" t="s">
        <v>26</v>
      </c>
      <c r="E7" s="23">
        <v>2760</v>
      </c>
      <c r="F7" s="23" t="s">
        <v>78</v>
      </c>
      <c r="G7" s="23" t="s">
        <v>121</v>
      </c>
      <c r="H7" s="23" t="s">
        <v>121</v>
      </c>
      <c r="I7" s="23">
        <v>3</v>
      </c>
      <c r="J7" s="23">
        <v>3</v>
      </c>
      <c r="K7" s="23">
        <f>(I7*J7)/2760</f>
        <v>3.2608695652173911E-3</v>
      </c>
      <c r="L7" s="23">
        <v>8.14</v>
      </c>
      <c r="M7" s="23">
        <v>0.38</v>
      </c>
      <c r="N7" s="23">
        <v>1.48</v>
      </c>
      <c r="O7" s="23">
        <f t="shared" si="0"/>
        <v>0.62</v>
      </c>
      <c r="P7" s="23">
        <v>5.0000000000000001E-3</v>
      </c>
      <c r="Q7" s="23">
        <f t="shared" si="1"/>
        <v>0.5655</v>
      </c>
      <c r="R7" s="24">
        <v>0.99</v>
      </c>
      <c r="S7" s="25">
        <f t="shared" si="2"/>
        <v>1.4860233586956522E-2</v>
      </c>
      <c r="T7" s="23">
        <v>12</v>
      </c>
      <c r="U7" s="23">
        <v>12</v>
      </c>
      <c r="V7" s="26">
        <v>23.683821335800001</v>
      </c>
      <c r="W7" s="23">
        <f t="shared" si="3"/>
        <v>7.246376811594203E-4</v>
      </c>
      <c r="X7" s="27">
        <v>15.9106897604</v>
      </c>
      <c r="Y7" s="23">
        <f t="shared" si="5"/>
        <v>7.246376811594203E-4</v>
      </c>
      <c r="Z7" s="23">
        <v>0.99</v>
      </c>
      <c r="AA7" s="23">
        <f>V7*W7*N7*Z7</f>
        <v>2.5146039870445048E-2</v>
      </c>
      <c r="AB7" s="23">
        <f>X7*Y7*N7*Z7</f>
        <v>1.6893001910824695E-2</v>
      </c>
      <c r="AC7" s="23">
        <f t="shared" si="4"/>
        <v>5.6899275368226268E-2</v>
      </c>
    </row>
    <row r="8" spans="1:29" s="23" customFormat="1" ht="15.6" x14ac:dyDescent="0.6">
      <c r="A8" s="23" t="s">
        <v>27</v>
      </c>
      <c r="B8" s="23" t="s">
        <v>28</v>
      </c>
      <c r="C8" s="23" t="s">
        <v>100</v>
      </c>
      <c r="D8" s="23" t="s">
        <v>26</v>
      </c>
      <c r="E8" s="23">
        <v>2760</v>
      </c>
      <c r="F8" s="23" t="s">
        <v>101</v>
      </c>
      <c r="G8" s="23" t="s">
        <v>120</v>
      </c>
      <c r="H8" s="23" t="s">
        <v>121</v>
      </c>
      <c r="I8" s="23">
        <v>6</v>
      </c>
      <c r="J8" s="23">
        <v>6</v>
      </c>
      <c r="K8" s="23">
        <f>(I8*J8)/2760</f>
        <v>1.3043478260869565E-2</v>
      </c>
      <c r="L8" s="23">
        <v>8.14</v>
      </c>
      <c r="M8" s="23">
        <v>0.35</v>
      </c>
      <c r="N8" s="23">
        <v>1.48</v>
      </c>
      <c r="O8" s="23">
        <f t="shared" si="0"/>
        <v>0.65</v>
      </c>
      <c r="P8" s="23">
        <v>5.0000000000000001E-3</v>
      </c>
      <c r="Q8" s="23">
        <f t="shared" si="1"/>
        <v>0.52124999999999999</v>
      </c>
      <c r="R8" s="24">
        <v>0.99</v>
      </c>
      <c r="S8" s="25">
        <f t="shared" si="2"/>
        <v>5.4789720652173912E-2</v>
      </c>
      <c r="T8" s="23">
        <v>240</v>
      </c>
      <c r="U8" s="23">
        <v>240</v>
      </c>
      <c r="V8" s="26">
        <v>23.683821335800001</v>
      </c>
      <c r="W8" s="23">
        <f t="shared" si="3"/>
        <v>1.4492753623188406E-2</v>
      </c>
      <c r="X8" s="27">
        <v>15.9106897604</v>
      </c>
      <c r="Y8" s="23">
        <f t="shared" si="5"/>
        <v>1.4492753623188406E-2</v>
      </c>
      <c r="Z8" s="23">
        <v>0.99</v>
      </c>
      <c r="AA8" s="23">
        <f>V8*W8*N8*Z8</f>
        <v>0.50292079740890083</v>
      </c>
      <c r="AB8" s="23">
        <f>X8*Y8*N8*Z8</f>
        <v>0.33786003821649396</v>
      </c>
      <c r="AC8" s="23">
        <f t="shared" si="4"/>
        <v>0.89557055627756865</v>
      </c>
    </row>
    <row r="9" spans="1:29" ht="15.6" x14ac:dyDescent="0.6">
      <c r="V9" s="1"/>
      <c r="X9" s="2"/>
    </row>
    <row r="10" spans="1:29" ht="15.6" x14ac:dyDescent="0.6">
      <c r="A10" t="s">
        <v>41</v>
      </c>
      <c r="V10" s="1"/>
      <c r="X10" s="2"/>
      <c r="AB10" t="s">
        <v>124</v>
      </c>
      <c r="AC10">
        <f>SUM(AC3:AC4)</f>
        <v>8.0753724735085457E-3</v>
      </c>
    </row>
    <row r="11" spans="1:29" x14ac:dyDescent="0.55000000000000004">
      <c r="AB11" t="s">
        <v>125</v>
      </c>
      <c r="AC11">
        <f>SUM(AC5:AC8)</f>
        <v>1.1427792387897349</v>
      </c>
    </row>
    <row r="12" spans="1:29" ht="17.100000000000001" thickBot="1" x14ac:dyDescent="0.7">
      <c r="A12" s="7" t="s">
        <v>42</v>
      </c>
    </row>
    <row r="13" spans="1:29" ht="14.7" thickTop="1" x14ac:dyDescent="0.55000000000000004">
      <c r="A13" s="8" t="s">
        <v>43</v>
      </c>
      <c r="B13" s="8" t="s">
        <v>44</v>
      </c>
      <c r="C13" s="8" t="s">
        <v>45</v>
      </c>
      <c r="AB13" t="s">
        <v>126</v>
      </c>
      <c r="AC13">
        <v>1</v>
      </c>
    </row>
    <row r="14" spans="1:29" x14ac:dyDescent="0.55000000000000004">
      <c r="A14" t="s">
        <v>31</v>
      </c>
      <c r="B14" t="s">
        <v>46</v>
      </c>
      <c r="C14" t="s">
        <v>47</v>
      </c>
      <c r="AB14" t="s">
        <v>127</v>
      </c>
      <c r="AC14">
        <v>2</v>
      </c>
    </row>
    <row r="15" spans="1:29" x14ac:dyDescent="0.55000000000000004">
      <c r="A15" t="s">
        <v>32</v>
      </c>
      <c r="B15" t="s">
        <v>48</v>
      </c>
      <c r="C15" t="s">
        <v>49</v>
      </c>
    </row>
    <row r="16" spans="1:29" ht="28.8" x14ac:dyDescent="0.55000000000000004">
      <c r="AB16" s="32" t="s">
        <v>128</v>
      </c>
      <c r="AC16">
        <v>3</v>
      </c>
    </row>
    <row r="17" spans="1:4" ht="17.100000000000001" thickBot="1" x14ac:dyDescent="0.7">
      <c r="A17" s="7" t="s">
        <v>30</v>
      </c>
    </row>
    <row r="18" spans="1:4" ht="14.7" thickTop="1" x14ac:dyDescent="0.55000000000000004">
      <c r="A18" s="9" t="s">
        <v>50</v>
      </c>
      <c r="B18" s="8" t="s">
        <v>44</v>
      </c>
      <c r="C18" s="8" t="s">
        <v>45</v>
      </c>
    </row>
    <row r="19" spans="1:4" x14ac:dyDescent="0.55000000000000004">
      <c r="A19" t="s">
        <v>51</v>
      </c>
      <c r="B19" t="s">
        <v>52</v>
      </c>
      <c r="C19" t="s">
        <v>53</v>
      </c>
    </row>
    <row r="21" spans="1:4" ht="17.100000000000001" thickBot="1" x14ac:dyDescent="0.7">
      <c r="A21" s="7" t="s">
        <v>54</v>
      </c>
    </row>
    <row r="22" spans="1:4" ht="14.7" thickTop="1" x14ac:dyDescent="0.55000000000000004">
      <c r="A22" s="8" t="s">
        <v>33</v>
      </c>
      <c r="B22" s="8" t="s">
        <v>34</v>
      </c>
      <c r="C22" s="8" t="s">
        <v>35</v>
      </c>
    </row>
    <row r="23" spans="1:4" x14ac:dyDescent="0.55000000000000004">
      <c r="A23">
        <v>2.41</v>
      </c>
      <c r="B23">
        <v>4.83</v>
      </c>
      <c r="C23">
        <v>7.24</v>
      </c>
    </row>
    <row r="25" spans="1:4" ht="17.100000000000001" thickBot="1" x14ac:dyDescent="0.7">
      <c r="A25" s="7" t="s">
        <v>55</v>
      </c>
    </row>
    <row r="26" spans="1:4" ht="14.7" thickTop="1" x14ac:dyDescent="0.55000000000000004">
      <c r="A26" t="s">
        <v>56</v>
      </c>
    </row>
    <row r="27" spans="1:4" x14ac:dyDescent="0.55000000000000004">
      <c r="A27" s="8" t="s">
        <v>1</v>
      </c>
      <c r="B27" s="8" t="s">
        <v>57</v>
      </c>
      <c r="C27" s="8" t="s">
        <v>58</v>
      </c>
      <c r="D27" s="8" t="s">
        <v>59</v>
      </c>
    </row>
    <row r="28" spans="1:4" x14ac:dyDescent="0.55000000000000004">
      <c r="A28" t="s">
        <v>60</v>
      </c>
      <c r="B28" t="s">
        <v>36</v>
      </c>
      <c r="C28">
        <v>115</v>
      </c>
      <c r="D28">
        <v>2760</v>
      </c>
    </row>
    <row r="29" spans="1:4" x14ac:dyDescent="0.55000000000000004">
      <c r="A29" t="s">
        <v>61</v>
      </c>
      <c r="B29" t="s">
        <v>62</v>
      </c>
      <c r="C29">
        <v>250</v>
      </c>
      <c r="D29">
        <v>6000</v>
      </c>
    </row>
  </sheetData>
  <dataValidations count="2">
    <dataValidation allowBlank="1" showInputMessage="1" showErrorMessage="1" promptTitle="Landing Area" prompt="Estimated area for aircraft to decrease altitude and land. " sqref="V3:V9" xr:uid="{0D790B58-C451-43C0-92E3-EFB8E041E654}"/>
    <dataValidation allowBlank="1" showInputMessage="1" showErrorMessage="1" promptTitle="Takeoff Area" prompt="Estimated area for aircraft to take off and increase to high altitude." sqref="X3:X9" xr:uid="{550674DA-1085-475A-B19A-704CB1348A68}"/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49B65-47B3-4E18-8D39-09C6C0AFBCED}">
  <dimension ref="A1:J44"/>
  <sheetViews>
    <sheetView workbookViewId="0">
      <selection activeCell="I3" sqref="I3"/>
    </sheetView>
  </sheetViews>
  <sheetFormatPr defaultRowHeight="14.4" x14ac:dyDescent="0.55000000000000004"/>
  <cols>
    <col min="1" max="1" width="15.47265625" bestFit="1" customWidth="1"/>
    <col min="2" max="2" width="22.734375" bestFit="1" customWidth="1"/>
    <col min="3" max="3" width="17.26171875" bestFit="1" customWidth="1"/>
    <col min="4" max="4" width="18.05078125" bestFit="1" customWidth="1"/>
    <col min="6" max="6" width="18.68359375" bestFit="1" customWidth="1"/>
    <col min="7" max="7" width="21.47265625" bestFit="1" customWidth="1"/>
    <col min="8" max="8" width="18.1015625" customWidth="1"/>
  </cols>
  <sheetData>
    <row r="1" spans="1:10" x14ac:dyDescent="0.55000000000000004">
      <c r="A1" s="13" t="s">
        <v>86</v>
      </c>
      <c r="B1" s="14"/>
      <c r="C1" s="14"/>
      <c r="D1" s="15"/>
      <c r="F1" s="13" t="s">
        <v>90</v>
      </c>
      <c r="G1" s="14"/>
      <c r="H1" s="14"/>
      <c r="I1" s="14"/>
      <c r="J1" s="15"/>
    </row>
    <row r="2" spans="1:10" x14ac:dyDescent="0.55000000000000004">
      <c r="A2" s="16"/>
      <c r="B2" s="17" t="s">
        <v>85</v>
      </c>
      <c r="C2" s="17" t="s">
        <v>79</v>
      </c>
      <c r="D2" s="18" t="s">
        <v>119</v>
      </c>
      <c r="F2" s="16"/>
      <c r="G2" s="17" t="s">
        <v>85</v>
      </c>
      <c r="H2" s="17"/>
      <c r="I2" s="17"/>
      <c r="J2" s="18"/>
    </row>
    <row r="3" spans="1:10" x14ac:dyDescent="0.55000000000000004">
      <c r="A3" s="16"/>
      <c r="B3" s="17" t="s">
        <v>80</v>
      </c>
      <c r="C3" s="17">
        <v>278530.54675899999</v>
      </c>
      <c r="D3" s="18">
        <f>C3/1000</f>
        <v>278.530546759</v>
      </c>
      <c r="F3" s="16"/>
      <c r="G3" s="17" t="s">
        <v>91</v>
      </c>
      <c r="H3" s="17">
        <v>380237.274209</v>
      </c>
      <c r="I3" s="17"/>
      <c r="J3" s="18"/>
    </row>
    <row r="4" spans="1:10" x14ac:dyDescent="0.55000000000000004">
      <c r="A4" s="16"/>
      <c r="B4" s="17" t="s">
        <v>81</v>
      </c>
      <c r="C4" s="17">
        <v>280890.60054900002</v>
      </c>
      <c r="D4" s="18">
        <f t="shared" ref="D4:D7" si="0">C4/1000</f>
        <v>280.890600549</v>
      </c>
      <c r="F4" s="16"/>
      <c r="G4" s="17" t="s">
        <v>92</v>
      </c>
      <c r="H4" s="17">
        <v>349247.03240199998</v>
      </c>
      <c r="I4" s="17"/>
      <c r="J4" s="18"/>
    </row>
    <row r="5" spans="1:10" x14ac:dyDescent="0.55000000000000004">
      <c r="A5" s="16"/>
      <c r="B5" s="17" t="s">
        <v>82</v>
      </c>
      <c r="C5" s="17">
        <v>298720.406089</v>
      </c>
      <c r="D5" s="18">
        <f t="shared" si="0"/>
        <v>298.72040608899999</v>
      </c>
      <c r="F5" s="16"/>
      <c r="G5" s="17" t="s">
        <v>93</v>
      </c>
      <c r="H5" s="17">
        <v>348783.642811</v>
      </c>
      <c r="I5" s="17"/>
      <c r="J5" s="18"/>
    </row>
    <row r="6" spans="1:10" x14ac:dyDescent="0.55000000000000004">
      <c r="A6" s="16"/>
      <c r="B6" s="17" t="s">
        <v>83</v>
      </c>
      <c r="C6" s="17">
        <v>313402.25232199999</v>
      </c>
      <c r="D6" s="18">
        <f t="shared" si="0"/>
        <v>313.40225232199998</v>
      </c>
      <c r="F6" s="16"/>
      <c r="G6" s="17" t="s">
        <v>94</v>
      </c>
      <c r="H6" s="17">
        <f>(AVERAGE(H3:H5))/1000</f>
        <v>359.4226498073333</v>
      </c>
      <c r="I6" s="17"/>
      <c r="J6" s="18"/>
    </row>
    <row r="7" spans="1:10" x14ac:dyDescent="0.55000000000000004">
      <c r="A7" s="16"/>
      <c r="B7" s="17" t="s">
        <v>84</v>
      </c>
      <c r="C7" s="17">
        <v>351468.33224000002</v>
      </c>
      <c r="D7" s="18">
        <f t="shared" si="0"/>
        <v>351.46833224</v>
      </c>
      <c r="F7" s="16"/>
      <c r="G7" s="17"/>
      <c r="H7" s="17"/>
      <c r="I7" s="17"/>
      <c r="J7" s="18"/>
    </row>
    <row r="8" spans="1:10" x14ac:dyDescent="0.55000000000000004">
      <c r="A8" s="16"/>
      <c r="B8" s="17" t="s">
        <v>112</v>
      </c>
      <c r="C8" s="17">
        <f>(AVERAGE(C3:C7))/1000</f>
        <v>304.60242759180005</v>
      </c>
      <c r="D8" s="18"/>
      <c r="F8" s="16"/>
      <c r="G8" s="17"/>
      <c r="H8" s="17"/>
      <c r="I8" s="17"/>
      <c r="J8" s="18"/>
    </row>
    <row r="9" spans="1:10" x14ac:dyDescent="0.55000000000000004">
      <c r="A9" s="16"/>
      <c r="B9" s="17"/>
      <c r="C9" s="17"/>
      <c r="D9" s="18"/>
      <c r="F9" s="16"/>
      <c r="G9" s="17"/>
      <c r="H9" s="17"/>
      <c r="I9" s="17"/>
      <c r="J9" s="18"/>
    </row>
    <row r="10" spans="1:10" x14ac:dyDescent="0.55000000000000004">
      <c r="A10" s="16"/>
      <c r="B10" s="17"/>
      <c r="C10" s="17"/>
      <c r="D10" s="18"/>
      <c r="F10" s="16"/>
      <c r="G10" s="17"/>
      <c r="H10" s="17"/>
      <c r="I10" s="17"/>
      <c r="J10" s="18"/>
    </row>
    <row r="11" spans="1:10" x14ac:dyDescent="0.55000000000000004">
      <c r="A11" s="16"/>
      <c r="B11" s="17"/>
      <c r="C11" s="17"/>
      <c r="D11" s="18"/>
      <c r="F11" s="16"/>
      <c r="G11" s="17"/>
      <c r="H11" s="17"/>
      <c r="I11" s="17"/>
      <c r="J11" s="18"/>
    </row>
    <row r="12" spans="1:10" x14ac:dyDescent="0.55000000000000004">
      <c r="A12" s="16"/>
      <c r="B12" s="17" t="s">
        <v>85</v>
      </c>
      <c r="C12" s="17" t="s">
        <v>87</v>
      </c>
      <c r="D12" s="18" t="s">
        <v>88</v>
      </c>
      <c r="F12" s="16"/>
      <c r="G12" s="17"/>
      <c r="H12" s="17" t="s">
        <v>87</v>
      </c>
      <c r="I12" s="17" t="s">
        <v>88</v>
      </c>
      <c r="J12" s="18"/>
    </row>
    <row r="13" spans="1:10" x14ac:dyDescent="0.55000000000000004">
      <c r="A13" s="16"/>
      <c r="B13" s="17" t="s">
        <v>80</v>
      </c>
      <c r="C13" s="17">
        <v>8.7401450000000001</v>
      </c>
      <c r="D13" s="18">
        <v>2.7411780000000001</v>
      </c>
      <c r="F13" s="16"/>
      <c r="G13" s="17" t="s">
        <v>91</v>
      </c>
      <c r="H13" s="17">
        <v>8.7203540000000004</v>
      </c>
      <c r="I13" s="17">
        <v>3.5966879999999999</v>
      </c>
      <c r="J13" s="18"/>
    </row>
    <row r="14" spans="1:10" x14ac:dyDescent="0.55000000000000004">
      <c r="A14" s="16"/>
      <c r="B14" s="17" t="s">
        <v>81</v>
      </c>
      <c r="C14" s="17">
        <v>7.9724700000000004</v>
      </c>
      <c r="D14" s="18">
        <v>1.760999</v>
      </c>
      <c r="F14" s="16"/>
      <c r="G14" s="17" t="s">
        <v>92</v>
      </c>
      <c r="H14" s="17">
        <v>9.0095379999999992</v>
      </c>
      <c r="I14" s="17">
        <v>4.4056709999999999</v>
      </c>
      <c r="J14" s="18"/>
    </row>
    <row r="15" spans="1:10" x14ac:dyDescent="0.55000000000000004">
      <c r="A15" s="16"/>
      <c r="B15" s="17" t="s">
        <v>82</v>
      </c>
      <c r="C15" s="17">
        <v>6.9999089999999997</v>
      </c>
      <c r="D15" s="18">
        <v>1.65605</v>
      </c>
      <c r="F15" s="16"/>
      <c r="G15" s="17" t="s">
        <v>93</v>
      </c>
      <c r="H15" s="17">
        <v>8.5994320000000002</v>
      </c>
      <c r="I15" s="17">
        <v>2.1102219999999998</v>
      </c>
      <c r="J15" s="18"/>
    </row>
    <row r="16" spans="1:10" x14ac:dyDescent="0.55000000000000004">
      <c r="A16" s="16"/>
      <c r="B16" s="17" t="s">
        <v>83</v>
      </c>
      <c r="C16" s="17">
        <v>7.5341469999999999</v>
      </c>
      <c r="D16" s="18">
        <v>1.833942</v>
      </c>
      <c r="F16" s="16"/>
      <c r="G16" s="17"/>
      <c r="H16" s="17">
        <f>SUM(H13:H15)</f>
        <v>26.329324</v>
      </c>
      <c r="I16" s="17">
        <f>SUM(I13:I15)</f>
        <v>10.112581</v>
      </c>
      <c r="J16" s="18"/>
    </row>
    <row r="17" spans="1:10" x14ac:dyDescent="0.55000000000000004">
      <c r="A17" s="16"/>
      <c r="B17" s="17" t="s">
        <v>84</v>
      </c>
      <c r="C17" s="17">
        <v>7.0639349999999999</v>
      </c>
      <c r="D17" s="18">
        <v>1.896693</v>
      </c>
      <c r="F17" s="16"/>
      <c r="G17" s="17"/>
      <c r="H17" s="17"/>
      <c r="I17" s="17"/>
      <c r="J17" s="18"/>
    </row>
    <row r="18" spans="1:10" x14ac:dyDescent="0.55000000000000004">
      <c r="A18" s="16"/>
      <c r="B18" s="17"/>
      <c r="C18" s="17">
        <f>SUM(C13:C17)</f>
        <v>38.310606</v>
      </c>
      <c r="D18" s="18">
        <f>SUM(D13:D17)</f>
        <v>9.8888619999999996</v>
      </c>
      <c r="F18" s="16"/>
      <c r="G18" s="17"/>
      <c r="H18" s="17"/>
      <c r="I18" s="17"/>
      <c r="J18" s="18"/>
    </row>
    <row r="19" spans="1:10" x14ac:dyDescent="0.55000000000000004">
      <c r="A19" s="16"/>
      <c r="B19" s="17"/>
      <c r="C19" s="17"/>
      <c r="D19" s="18"/>
      <c r="F19" s="16"/>
      <c r="G19" s="17" t="s">
        <v>89</v>
      </c>
      <c r="H19" s="17">
        <f>I16/H16</f>
        <v>0.38408054076891607</v>
      </c>
      <c r="I19" s="17"/>
      <c r="J19" s="18"/>
    </row>
    <row r="20" spans="1:10" x14ac:dyDescent="0.55000000000000004">
      <c r="A20" s="19"/>
      <c r="B20" s="20" t="s">
        <v>89</v>
      </c>
      <c r="C20" s="20">
        <f>D18/C18</f>
        <v>0.25812335101146661</v>
      </c>
      <c r="D20" s="21"/>
      <c r="F20" s="19"/>
      <c r="G20" s="20"/>
      <c r="H20" s="20"/>
      <c r="I20" s="20"/>
      <c r="J20" s="21"/>
    </row>
    <row r="22" spans="1:10" x14ac:dyDescent="0.55000000000000004">
      <c r="A22" s="13" t="s">
        <v>95</v>
      </c>
      <c r="B22" s="14"/>
      <c r="C22" s="14"/>
      <c r="D22" s="15"/>
      <c r="F22" t="s">
        <v>102</v>
      </c>
    </row>
    <row r="23" spans="1:10" x14ac:dyDescent="0.55000000000000004">
      <c r="A23" s="16"/>
      <c r="B23" s="17" t="s">
        <v>85</v>
      </c>
      <c r="C23" s="17" t="s">
        <v>117</v>
      </c>
      <c r="D23" s="18" t="s">
        <v>118</v>
      </c>
      <c r="G23" t="s">
        <v>103</v>
      </c>
    </row>
    <row r="24" spans="1:10" x14ac:dyDescent="0.55000000000000004">
      <c r="A24" s="16"/>
      <c r="B24" s="17" t="s">
        <v>96</v>
      </c>
      <c r="C24" s="17">
        <v>322696.98819200002</v>
      </c>
      <c r="D24" s="18">
        <f>C24/1000</f>
        <v>322.69698819199999</v>
      </c>
      <c r="G24" t="s">
        <v>104</v>
      </c>
      <c r="H24">
        <v>251740.515533</v>
      </c>
    </row>
    <row r="25" spans="1:10" x14ac:dyDescent="0.55000000000000004">
      <c r="A25" s="16"/>
      <c r="B25" s="17" t="s">
        <v>97</v>
      </c>
      <c r="C25" s="17">
        <v>327366.526013</v>
      </c>
      <c r="D25" s="18">
        <f t="shared" ref="D25:D26" si="1">C25/1000</f>
        <v>327.366526013</v>
      </c>
      <c r="G25" t="s">
        <v>105</v>
      </c>
      <c r="H25">
        <v>306186.27208700002</v>
      </c>
    </row>
    <row r="26" spans="1:10" x14ac:dyDescent="0.55000000000000004">
      <c r="A26" s="16"/>
      <c r="B26" s="17" t="s">
        <v>98</v>
      </c>
      <c r="C26" s="17">
        <v>346202.42815200001</v>
      </c>
      <c r="D26" s="18">
        <f t="shared" si="1"/>
        <v>346.20242815199998</v>
      </c>
      <c r="G26" t="s">
        <v>106</v>
      </c>
      <c r="H26">
        <v>289365.36882600002</v>
      </c>
    </row>
    <row r="27" spans="1:10" x14ac:dyDescent="0.55000000000000004">
      <c r="A27" s="16"/>
      <c r="B27" s="17"/>
      <c r="C27" s="17">
        <f>AVERAGE((C24:C26))/1000</f>
        <v>332.0886474523333</v>
      </c>
      <c r="D27" s="18"/>
      <c r="G27" t="s">
        <v>107</v>
      </c>
      <c r="H27">
        <v>254202.21574499999</v>
      </c>
    </row>
    <row r="28" spans="1:10" x14ac:dyDescent="0.55000000000000004">
      <c r="A28" s="16"/>
      <c r="B28" s="17"/>
      <c r="C28" s="17"/>
      <c r="D28" s="18"/>
      <c r="G28" t="s">
        <v>108</v>
      </c>
      <c r="H28">
        <v>313217.75716400001</v>
      </c>
    </row>
    <row r="29" spans="1:10" x14ac:dyDescent="0.55000000000000004">
      <c r="A29" s="16"/>
      <c r="B29" s="17"/>
      <c r="C29" s="17"/>
      <c r="D29" s="18"/>
      <c r="H29">
        <f>AVERAGE((H24:H28))/1000</f>
        <v>282.94242587100007</v>
      </c>
    </row>
    <row r="30" spans="1:10" x14ac:dyDescent="0.55000000000000004">
      <c r="A30" s="16"/>
      <c r="B30" s="17"/>
      <c r="C30" s="17"/>
      <c r="D30" s="18"/>
    </row>
    <row r="31" spans="1:10" x14ac:dyDescent="0.55000000000000004">
      <c r="A31" s="16"/>
      <c r="B31" s="17"/>
      <c r="C31" s="17"/>
      <c r="D31" s="18"/>
      <c r="H31" s="17" t="s">
        <v>87</v>
      </c>
      <c r="I31" s="18" t="s">
        <v>88</v>
      </c>
    </row>
    <row r="32" spans="1:10" x14ac:dyDescent="0.55000000000000004">
      <c r="A32" s="16"/>
      <c r="B32" s="17"/>
      <c r="C32" s="17" t="s">
        <v>87</v>
      </c>
      <c r="D32" s="18" t="s">
        <v>88</v>
      </c>
      <c r="G32" t="s">
        <v>104</v>
      </c>
      <c r="H32">
        <v>7.8947710000000004</v>
      </c>
      <c r="I32">
        <v>3.1644839999999999</v>
      </c>
    </row>
    <row r="33" spans="1:9" x14ac:dyDescent="0.55000000000000004">
      <c r="A33" s="16"/>
      <c r="B33" s="17" t="s">
        <v>96</v>
      </c>
      <c r="C33" s="17">
        <v>7.8755990000000002</v>
      </c>
      <c r="D33" s="18">
        <v>4.3546420000000001</v>
      </c>
      <c r="G33" t="s">
        <v>105</v>
      </c>
      <c r="H33">
        <v>6.3338609999999997</v>
      </c>
      <c r="I33">
        <v>1.7807999999999999</v>
      </c>
    </row>
    <row r="34" spans="1:9" x14ac:dyDescent="0.55000000000000004">
      <c r="A34" s="16"/>
      <c r="B34" s="17" t="s">
        <v>97</v>
      </c>
      <c r="C34" s="17">
        <v>8.1601199999999992</v>
      </c>
      <c r="D34" s="18">
        <v>1.648873</v>
      </c>
      <c r="G34" t="s">
        <v>106</v>
      </c>
      <c r="H34">
        <v>6.4058460000000004</v>
      </c>
      <c r="I34">
        <v>1.1018840000000001</v>
      </c>
    </row>
    <row r="35" spans="1:9" x14ac:dyDescent="0.55000000000000004">
      <c r="A35" s="16"/>
      <c r="B35" s="17" t="s">
        <v>98</v>
      </c>
      <c r="C35" s="17">
        <v>8.2389829999999993</v>
      </c>
      <c r="D35" s="18">
        <v>2.4822860000000002</v>
      </c>
      <c r="G35" t="s">
        <v>107</v>
      </c>
      <c r="H35">
        <v>7.1089929999999999</v>
      </c>
      <c r="I35">
        <v>3.6607940000000001</v>
      </c>
    </row>
    <row r="36" spans="1:9" x14ac:dyDescent="0.55000000000000004">
      <c r="A36" s="16"/>
      <c r="B36" s="17"/>
      <c r="C36" s="17">
        <f>SUM(C33:C35)</f>
        <v>24.274701999999998</v>
      </c>
      <c r="D36" s="18">
        <f>SUM(D33:D35)</f>
        <v>8.4858010000000004</v>
      </c>
      <c r="G36" t="s">
        <v>108</v>
      </c>
      <c r="H36">
        <v>7.5652689999999998</v>
      </c>
      <c r="I36">
        <v>3.66282</v>
      </c>
    </row>
    <row r="37" spans="1:9" x14ac:dyDescent="0.55000000000000004">
      <c r="A37" s="16"/>
      <c r="B37" s="17"/>
      <c r="C37" s="17"/>
      <c r="D37" s="18"/>
      <c r="H37">
        <f>SUM(H32:H36)</f>
        <v>35.30874</v>
      </c>
      <c r="I37">
        <f>SUM(I32:I36)</f>
        <v>13.370782</v>
      </c>
    </row>
    <row r="38" spans="1:9" x14ac:dyDescent="0.55000000000000004">
      <c r="A38" s="19"/>
      <c r="B38" s="20" t="s">
        <v>99</v>
      </c>
      <c r="C38" s="20">
        <f>D36/C36</f>
        <v>0.34957384852757417</v>
      </c>
      <c r="D38" s="21"/>
    </row>
    <row r="39" spans="1:9" x14ac:dyDescent="0.55000000000000004">
      <c r="G39" t="s">
        <v>109</v>
      </c>
      <c r="H39">
        <f>I37/H37</f>
        <v>0.37868193540749401</v>
      </c>
    </row>
    <row r="42" spans="1:9" x14ac:dyDescent="0.55000000000000004">
      <c r="A42" t="s">
        <v>115</v>
      </c>
    </row>
    <row r="43" spans="1:9" x14ac:dyDescent="0.55000000000000004">
      <c r="C43">
        <v>291495.49238499999</v>
      </c>
    </row>
    <row r="44" spans="1:9" x14ac:dyDescent="0.55000000000000004">
      <c r="C44">
        <f>C43/1000</f>
        <v>291.49549238499998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4292-E9DA-4514-A8BB-944AE8AEB1E7}">
  <dimension ref="A1:C20"/>
  <sheetViews>
    <sheetView workbookViewId="0">
      <selection activeCell="A10" sqref="A10:XFD10"/>
    </sheetView>
  </sheetViews>
  <sheetFormatPr defaultRowHeight="14.4" x14ac:dyDescent="0.55000000000000004"/>
  <cols>
    <col min="1" max="1" width="32.41796875" customWidth="1"/>
    <col min="2" max="4" width="27.41796875" customWidth="1"/>
  </cols>
  <sheetData>
    <row r="1" spans="1:3" ht="19.5" thickBot="1" x14ac:dyDescent="0.75">
      <c r="A1" s="10" t="s">
        <v>63</v>
      </c>
    </row>
    <row r="2" spans="1:3" ht="18.899999999999999" thickTop="1" thickBot="1" x14ac:dyDescent="0.7">
      <c r="A2" s="11" t="s">
        <v>64</v>
      </c>
    </row>
    <row r="3" spans="1:3" ht="14.7" thickTop="1" x14ac:dyDescent="0.55000000000000004">
      <c r="A3" s="8" t="s">
        <v>65</v>
      </c>
      <c r="B3" s="8" t="s">
        <v>66</v>
      </c>
      <c r="C3" s="8" t="s">
        <v>67</v>
      </c>
    </row>
    <row r="4" spans="1:3" x14ac:dyDescent="0.55000000000000004">
      <c r="A4" s="12">
        <v>2014</v>
      </c>
      <c r="B4">
        <v>2</v>
      </c>
      <c r="C4">
        <v>193</v>
      </c>
    </row>
    <row r="5" spans="1:3" x14ac:dyDescent="0.55000000000000004">
      <c r="A5" s="12">
        <v>2015</v>
      </c>
      <c r="B5">
        <v>8</v>
      </c>
      <c r="C5">
        <v>49</v>
      </c>
    </row>
    <row r="6" spans="1:3" x14ac:dyDescent="0.55000000000000004">
      <c r="A6" s="12">
        <v>2016</v>
      </c>
      <c r="B6">
        <v>4</v>
      </c>
      <c r="C6">
        <v>227</v>
      </c>
    </row>
    <row r="7" spans="1:3" x14ac:dyDescent="0.55000000000000004">
      <c r="A7" s="12">
        <v>2017</v>
      </c>
      <c r="B7">
        <v>7</v>
      </c>
      <c r="C7">
        <v>313</v>
      </c>
    </row>
    <row r="8" spans="1:3" x14ac:dyDescent="0.55000000000000004">
      <c r="A8" s="12">
        <v>2018</v>
      </c>
      <c r="B8">
        <v>13</v>
      </c>
      <c r="C8">
        <v>205</v>
      </c>
    </row>
    <row r="9" spans="1:3" x14ac:dyDescent="0.55000000000000004">
      <c r="A9" s="8" t="s">
        <v>68</v>
      </c>
      <c r="B9">
        <v>6.8</v>
      </c>
      <c r="C9">
        <v>197.4</v>
      </c>
    </row>
    <row r="10" spans="1:3" ht="16.5" x14ac:dyDescent="0.55000000000000004">
      <c r="A10" s="8" t="s">
        <v>69</v>
      </c>
      <c r="B10" t="s">
        <v>70</v>
      </c>
      <c r="C10" t="s">
        <v>71</v>
      </c>
    </row>
    <row r="12" spans="1:3" ht="18.600000000000001" thickBot="1" x14ac:dyDescent="0.7">
      <c r="A12" s="11" t="s">
        <v>72</v>
      </c>
    </row>
    <row r="13" spans="1:3" ht="14.7" thickTop="1" x14ac:dyDescent="0.55000000000000004">
      <c r="A13" s="8" t="s">
        <v>65</v>
      </c>
      <c r="B13" s="8" t="s">
        <v>66</v>
      </c>
      <c r="C13" s="8" t="s">
        <v>67</v>
      </c>
    </row>
    <row r="14" spans="1:3" x14ac:dyDescent="0.55000000000000004">
      <c r="A14" s="1">
        <v>2014</v>
      </c>
      <c r="B14">
        <v>3</v>
      </c>
      <c r="C14">
        <v>3</v>
      </c>
    </row>
    <row r="15" spans="1:3" x14ac:dyDescent="0.55000000000000004">
      <c r="A15" s="1">
        <v>2015</v>
      </c>
      <c r="B15">
        <v>0</v>
      </c>
      <c r="C15">
        <v>0</v>
      </c>
    </row>
    <row r="16" spans="1:3" x14ac:dyDescent="0.55000000000000004">
      <c r="A16" s="1">
        <v>2016</v>
      </c>
      <c r="B16">
        <v>0</v>
      </c>
      <c r="C16">
        <v>2</v>
      </c>
    </row>
    <row r="17" spans="1:3" x14ac:dyDescent="0.55000000000000004">
      <c r="A17" s="1">
        <v>2017</v>
      </c>
      <c r="B17">
        <v>3</v>
      </c>
      <c r="C17">
        <v>0</v>
      </c>
    </row>
    <row r="18" spans="1:3" x14ac:dyDescent="0.55000000000000004">
      <c r="A18" s="1">
        <v>2018</v>
      </c>
      <c r="B18">
        <v>0</v>
      </c>
      <c r="C18">
        <v>2</v>
      </c>
    </row>
    <row r="19" spans="1:3" x14ac:dyDescent="0.55000000000000004">
      <c r="A19" s="8" t="s">
        <v>68</v>
      </c>
      <c r="B19">
        <v>1.2</v>
      </c>
      <c r="C19">
        <v>1.4</v>
      </c>
    </row>
    <row r="20" spans="1:3" ht="16.5" x14ac:dyDescent="0.55000000000000004">
      <c r="A20" s="8" t="s">
        <v>69</v>
      </c>
      <c r="B20" t="s">
        <v>73</v>
      </c>
      <c r="C20" t="s">
        <v>73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8536A47B06F4478E90CB24A7517759" ma:contentTypeVersion="13" ma:contentTypeDescription="Create a new document." ma:contentTypeScope="" ma:versionID="89c4ddf9495f39d36e8394ddc7e108ee">
  <xsd:schema xmlns:xsd="http://www.w3.org/2001/XMLSchema" xmlns:xs="http://www.w3.org/2001/XMLSchema" xmlns:p="http://schemas.microsoft.com/office/2006/metadata/properties" xmlns:ns2="034cb7a3-cc6e-4817-9017-2d57b174faf3" xmlns:ns3="31062a0d-ede8-4112-b4bb-00a9c1bc8e16" targetNamespace="http://schemas.microsoft.com/office/2006/metadata/properties" ma:root="true" ma:fieldsID="b792efe45ffe6eadb331ae018ec0d860" ns2:_="" ns3:_="">
    <xsd:import namespace="034cb7a3-cc6e-4817-9017-2d57b174faf3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4cb7a3-cc6e-4817-9017-2d57b174fa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40bebd8-2345-4632-99d7-643a599af7df}" ma:internalName="TaxCatchAll" ma:showField="CatchAllData" ma:web="73166ee1-6b64-49a2-af77-8563fe7cb8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4cb7a3-cc6e-4817-9017-2d57b174faf3">
      <Terms xmlns="http://schemas.microsoft.com/office/infopath/2007/PartnerControls"/>
    </lcf76f155ced4ddcb4097134ff3c332f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DFA924DE-BE76-4B47-9B53-48BEE593C8F4}"/>
</file>

<file path=customXml/itemProps2.xml><?xml version="1.0" encoding="utf-8"?>
<ds:datastoreItem xmlns:ds="http://schemas.openxmlformats.org/officeDocument/2006/customXml" ds:itemID="{CCCADC0C-DE0E-4673-9D3F-A200C2320B31}"/>
</file>

<file path=customXml/itemProps3.xml><?xml version="1.0" encoding="utf-8"?>
<ds:datastoreItem xmlns:ds="http://schemas.openxmlformats.org/officeDocument/2006/customXml" ds:itemID="{96E0C588-0BA3-4C69-95DC-F446E0E8E7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analysis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Hein, Steven R</dc:creator>
  <cp:lastModifiedBy>Hein, Steven R</cp:lastModifiedBy>
  <dcterms:created xsi:type="dcterms:W3CDTF">2024-07-30T22:26:55Z</dcterms:created>
  <dcterms:modified xsi:type="dcterms:W3CDTF">2025-03-25T17:01:49Z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0x010100418536A47B06F4478E90CB24A7517759</vt:lpwstr>
  </property>
</Properties>
</file>